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0140" windowHeight="8265" tabRatio="598" activeTab="0"/>
  </bookViews>
  <sheets>
    <sheet name="งานโกดังเก็บวัสดุการผลิต" sheetId="1" r:id="rId1"/>
    <sheet name="ปร.5" sheetId="2" r:id="rId2"/>
  </sheets>
  <definedNames>
    <definedName name="_xlfn.BAHTTEXT" hidden="1">#NAME?</definedName>
    <definedName name="_xlnm.Print_Area" localSheetId="0">'งานโกดังเก็บวัสดุการผลิต'!$A$1:$S$50</definedName>
    <definedName name="_xlnm.Print_Area" localSheetId="1">'ปร.5'!$A$1:$F$42</definedName>
    <definedName name="_xlnm.Print_Titles" localSheetId="0">'งานโกดังเก็บวัสดุการผลิต'!$1:$9</definedName>
  </definedNames>
  <calcPr fullCalcOnLoad="1"/>
</workbook>
</file>

<file path=xl/comments1.xml><?xml version="1.0" encoding="utf-8"?>
<comments xmlns="http://schemas.openxmlformats.org/spreadsheetml/2006/main">
  <authors>
    <author>ธนกร ทองดี</author>
  </authors>
  <commentList>
    <comment ref="E14" authorId="0">
      <text>
        <r>
          <rPr>
            <b/>
            <sz val="9"/>
            <rFont val="Tahoma"/>
            <family val="2"/>
          </rPr>
          <t>ธนกร ทองดี:</t>
        </r>
        <r>
          <rPr>
            <sz val="9"/>
            <rFont val="Tahoma"/>
            <family val="2"/>
          </rPr>
          <t xml:space="preserve">
ราคา พาณิชจังหวัด สระบุรี เดือน พฤศจิกายน 2560
</t>
        </r>
      </text>
    </comment>
    <comment ref="E13" authorId="0">
      <text>
        <r>
          <rPr>
            <b/>
            <sz val="9"/>
            <rFont val="Tahoma"/>
            <family val="2"/>
          </rPr>
          <t>ธนกร ทองดี:</t>
        </r>
        <r>
          <rPr>
            <sz val="9"/>
            <rFont val="Tahoma"/>
            <family val="2"/>
          </rPr>
          <t xml:space="preserve">
ราคาบัญชีค่าแรง เดือนตุลาคม 2560
</t>
        </r>
      </text>
    </comment>
  </commentList>
</comments>
</file>

<file path=xl/sharedStrings.xml><?xml version="1.0" encoding="utf-8"?>
<sst xmlns="http://schemas.openxmlformats.org/spreadsheetml/2006/main" count="117" uniqueCount="101">
  <si>
    <t>ลำดับที่</t>
  </si>
  <si>
    <t>รายการ</t>
  </si>
  <si>
    <t>จำนวน</t>
  </si>
  <si>
    <t>หน่วย</t>
  </si>
  <si>
    <t>ราคาวัสดุสิ่งของ</t>
  </si>
  <si>
    <t>ราคาต่อหน่วย</t>
  </si>
  <si>
    <t>จำนวนเงิน</t>
  </si>
  <si>
    <t>ค่าแรงงาน</t>
  </si>
  <si>
    <t>ค่าวัสดุและแรงงาน</t>
  </si>
  <si>
    <t>หมายเหตุ</t>
  </si>
  <si>
    <t>องค์การส่งเสริมกิจการโคนมแห่งประเทศไทย (อ.ส.ค.)</t>
  </si>
  <si>
    <t>ตร.ม.</t>
  </si>
  <si>
    <t>กก.</t>
  </si>
  <si>
    <t>ลบ.ม</t>
  </si>
  <si>
    <t>A</t>
  </si>
  <si>
    <t>A.1</t>
  </si>
  <si>
    <t xml:space="preserve"> งานดิน+งานวางผัง</t>
  </si>
  <si>
    <t>A.2</t>
  </si>
  <si>
    <t xml:space="preserve"> งานคอนกรีต</t>
  </si>
  <si>
    <t>B</t>
  </si>
  <si>
    <t xml:space="preserve"> งานสถาปัตยกรรม </t>
  </si>
  <si>
    <t>B.1</t>
  </si>
  <si>
    <t xml:space="preserve">  - ทรายหยาบ รองพื้น</t>
  </si>
  <si>
    <t xml:space="preserve">  - งานคอนกรีตหยาบ 1:3:5</t>
  </si>
  <si>
    <t xml:space="preserve">  - งานคอนกรีตโครงสร้าง  ( fc' =   240   ksc.)</t>
  </si>
  <si>
    <t xml:space="preserve">  -  เหล็กเสริม Dia.   6 มม. เหล็กกลม (SR. 24) (ยาวเส้นละ 10 เมตร) (น้ำหนัก 0.222 กก./เมตร)</t>
  </si>
  <si>
    <t xml:space="preserve">  - ลวดผูกเหล็ก เบอร์ 18</t>
  </si>
  <si>
    <t xml:space="preserve">  - ตะปู</t>
  </si>
  <si>
    <t>รวมงาน A.1</t>
  </si>
  <si>
    <t>รวมงาน A.2</t>
  </si>
  <si>
    <t xml:space="preserve">  -  เหล็กเสริม Dia.   9 มม. เหล็กกลม (SR. 24) (ยาวเส้นละ 10 เมตร) (น้ำหนัก 0.499 กก./เมตร)</t>
  </si>
  <si>
    <t>สรุปผลการประมาณราคาค่าก่อสร้าง</t>
  </si>
  <si>
    <t>แบบเลขที่......................................................</t>
  </si>
  <si>
    <t>ค่าวัสดุและค่าแรงงาน</t>
  </si>
  <si>
    <t>FACTOR  F</t>
  </si>
  <si>
    <t>ค่าก่อสร้างทั้งหมด</t>
  </si>
  <si>
    <t>รวมเป็นเงิน(บาท)</t>
  </si>
  <si>
    <t>ประเภทงานอาคาร</t>
  </si>
  <si>
    <t>ประเภทงานทาง</t>
  </si>
  <si>
    <t>ประเภทงานชลประทาน</t>
  </si>
  <si>
    <t>ประเภทงานสะพานและท่อเหลี่ยม</t>
  </si>
  <si>
    <t xml:space="preserve">งานอื่น ๆ งานครุภัณฑ์เครื่องปรับอากาศ </t>
  </si>
  <si>
    <t>เงื่อนไข</t>
  </si>
  <si>
    <t>เงินล่วงหน้าจ่าย.............0..%</t>
  </si>
  <si>
    <t>เงินประมาณผลงานหัก.....10...%</t>
  </si>
  <si>
    <t>ดอกเบี้ยเงินกู้.......6...%</t>
  </si>
  <si>
    <t>ภาษีมูลค่าเพิ่ม.....7...%</t>
  </si>
  <si>
    <t>สรุป</t>
  </si>
  <si>
    <t>รวมวัสดุก่อสร้างและค่าแรงเป็นเงินทั้งสิ้น</t>
  </si>
  <si>
    <t>ลำดับ</t>
  </si>
  <si>
    <t xml:space="preserve"> </t>
  </si>
  <si>
    <t xml:space="preserve">ตัวอักษร  </t>
  </si>
  <si>
    <t xml:space="preserve">เฉลี่ยราคาประมาณ  </t>
  </si>
  <si>
    <t xml:space="preserve">  ปร.5</t>
  </si>
  <si>
    <t xml:space="preserve"> งานก่อสร้างรั้วทึบ</t>
  </si>
  <si>
    <t>B.2</t>
  </si>
  <si>
    <t>งานติดตั้งลวดหนาม พร้อมอุปกรณ์ครบชุด</t>
  </si>
  <si>
    <t xml:space="preserve">  - ลวดหนามเบอร์ 14 </t>
  </si>
  <si>
    <t>รวมงาน B.1</t>
  </si>
  <si>
    <t>รวมงาน B.2</t>
  </si>
  <si>
    <t>น้ำหนักเหล็ก/เส้น</t>
  </si>
  <si>
    <t>RB 6  2.22kg/10m เผื่อ5%</t>
  </si>
  <si>
    <t>RB 9  4.99kg/10m เผื่อ7%</t>
  </si>
  <si>
    <t>DB 12  8.88kg/10m เผื่อ9%</t>
  </si>
  <si>
    <t>DB 16 15.80kg/10m</t>
  </si>
  <si>
    <t>จำนวนเส้นสุทธิ</t>
  </si>
  <si>
    <t>รวม</t>
  </si>
  <si>
    <t>kg</t>
  </si>
  <si>
    <t>ค่าแรงลวดผูกเหล็ก</t>
  </si>
  <si>
    <t>ลวดผูกเหล็ก 30 กิโลกรัมต่อตัน</t>
  </si>
  <si>
    <t>ตะปู (ไม้แบบ*0.25)</t>
  </si>
  <si>
    <t>ไม้แบบ</t>
  </si>
  <si>
    <t>จำนวนเส้นเผื่อ</t>
  </si>
  <si>
    <t>รวมค่าวัสดุและค่าแรงทั้งหมดเป็นเงิน</t>
  </si>
  <si>
    <t>สถานที่ก่อสร้าง...บริเวณฝ่ายวิจัยและพัฒนาการเลี้ยงโคนม...</t>
  </si>
  <si>
    <t>ฝ่าย/สำนักงาน...ฝ่ายวิจัยและพัฒนาการเลี้ยงโคนม...</t>
  </si>
  <si>
    <t>สถานที่ก่อสร้าง...บริเวณฝ่ายวิจัยและพัฒนาการเลี้ยงโคนม…</t>
  </si>
  <si>
    <t>ฝ่าย / สำนัก ...ฝ่ายวิจัยและพัฒนาการเลี้ยงโคนม…</t>
  </si>
  <si>
    <t xml:space="preserve">  - งานไม้แบบ </t>
  </si>
  <si>
    <t xml:space="preserve">  - งานดินขุด</t>
  </si>
  <si>
    <t>งานก่ออิฐบล็อคเซาะร่อง</t>
  </si>
  <si>
    <t xml:space="preserve">  - ฉาบปูน</t>
  </si>
  <si>
    <t xml:space="preserve">  - ผนังก่ออิฐบล็อค หนา 0.07 เมตร โชว์แนว</t>
  </si>
  <si>
    <t>งานรั้ว</t>
  </si>
  <si>
    <t xml:space="preserve">รายการประมาณราคาก่อสร้าง...งานก่อสร้างรั้วทึบพร้อมลวดหนาม 5 แถว บริเวณแปลง 6… ความยาว 720.00 เมตร  </t>
  </si>
  <si>
    <t>L/S</t>
  </si>
  <si>
    <t xml:space="preserve">โครงการ...งานก่อสร้างรั้วทึบพร้อมลวดหนาม 5 แถว บริเวณแปลง 6… ความยาว 720.00 เมตร  </t>
  </si>
  <si>
    <t>บาท/เมตร</t>
  </si>
  <si>
    <t>เมื่อวันที่………………………………………………..</t>
  </si>
  <si>
    <t xml:space="preserve">  - งานปรับพื้นที่</t>
  </si>
  <si>
    <t>ประมาณการโดย...นายธนกร ทองดี...</t>
  </si>
  <si>
    <t>ค่า FACTOR F 1.3061 (ช่องรวมค่วัสดุและแรงงาน×1.3061-ช่องรวมค่วัสดุและแรงงาน)</t>
  </si>
  <si>
    <t>รวมค่า FACTOR F 1.3061 เป็นเงิน</t>
  </si>
  <si>
    <t>ราคารวมเป็นเงินทั้งสินประมาณ</t>
  </si>
  <si>
    <r>
      <t>ขนาดความยาว…</t>
    </r>
    <r>
      <rPr>
        <b/>
        <sz val="16"/>
        <rFont val="TH SarabunPSK"/>
        <family val="2"/>
      </rPr>
      <t>720</t>
    </r>
    <r>
      <rPr>
        <sz val="16"/>
        <rFont val="TH SarabunPSK"/>
        <family val="2"/>
      </rPr>
      <t>...ตารางเมตร</t>
    </r>
  </si>
  <si>
    <t xml:space="preserve">ประมาณราคาตามแบบ  ปร.4  จำนวน 2 แผ่น                 </t>
  </si>
  <si>
    <t>ประมาณราคาเมื่อวันที่ ………………………………………………………….</t>
  </si>
  <si>
    <t xml:space="preserve">  -  เหล็กเสริม Dia. 12 มม. เหล็กข้ออ้อย (SD.30) (ยาวเส้นละ 10 เมตร)(น้ำหนัก 0.888 กก./เมตร)</t>
  </si>
  <si>
    <t>ใหม่</t>
  </si>
  <si>
    <t>เก่า</t>
  </si>
  <si>
    <t>ส่วนต่าง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</si>
</sst>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000_-;\-* #,##0.0000_-;_-* &quot;-&quot;????_-;_-@_-"/>
    <numFmt numFmtId="177" formatCode="_-* #,##0.0_-;\-* #,##0.0_-;_-* &quot;-&quot;??_-;_-@_-"/>
    <numFmt numFmtId="178" formatCode="_-* #,##0_-;\-* #,##0_-;_-* &quot;-&quot;??_-;_-@_-"/>
    <numFmt numFmtId="179" formatCode="&quot;฿&quot;#,##0.00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  <numFmt numFmtId="184" formatCode="#,##0.00_ ;\-#,##0.00\ "/>
    <numFmt numFmtId="185" formatCode="_-* #,##0.0_-;\-* #,##0.0_-;_-* &quot;-&quot;?_-;_-@_-"/>
    <numFmt numFmtId="186" formatCode="_(* #,##0.0000_);_(* \(#,##0.0000\);_(* &quot;-&quot;????_);_(@_)"/>
    <numFmt numFmtId="187" formatCode="_-* #,##0.0_-;\-* #,##0.0_-;_-* &quot;-&quot;_-;_-@_-"/>
    <numFmt numFmtId="188" formatCode="[$-107041E]d\ mmm\ yy;@"/>
    <numFmt numFmtId="189" formatCode="0.0"/>
    <numFmt numFmtId="190" formatCode="0.000"/>
    <numFmt numFmtId="191" formatCode="_-* #,##0.0000_-;\-* #,##0.0000_-;_-* &quot;-&quot;??_-;_-@_-"/>
  </numFmts>
  <fonts count="50">
    <font>
      <sz val="10"/>
      <name val="Arial"/>
      <family val="0"/>
    </font>
    <font>
      <sz val="14"/>
      <name val="Cordia New"/>
      <family val="2"/>
    </font>
    <font>
      <sz val="7"/>
      <name val="Small Fonts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.5"/>
      <color indexed="12"/>
      <name val="Cordia New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 tint="0.04998999834060669"/>
      <name val="TH SarabunPSK"/>
      <family val="2"/>
    </font>
    <font>
      <b/>
      <sz val="16"/>
      <color theme="1" tint="0.04998999834060669"/>
      <name val="TH SarabunPSK"/>
      <family val="2"/>
    </font>
    <font>
      <sz val="16"/>
      <color rgb="FFFF0000"/>
      <name val="TH SarabunPSK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ck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hair"/>
      <bottom style="thin"/>
    </border>
    <border>
      <left style="thin"/>
      <right style="thin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7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43" fontId="6" fillId="0" borderId="10" xfId="33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43" applyFont="1" applyBorder="1" applyAlignment="1">
      <alignment horizontal="center"/>
      <protection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43" fontId="8" fillId="0" borderId="11" xfId="43" applyNumberFormat="1" applyFont="1" applyBorder="1" applyAlignment="1">
      <alignment horizontal="center"/>
      <protection/>
    </xf>
    <xf numFmtId="0" fontId="8" fillId="0" borderId="11" xfId="0" applyFont="1" applyBorder="1" applyAlignment="1">
      <alignment horizontal="center"/>
    </xf>
    <xf numFmtId="43" fontId="8" fillId="0" borderId="11" xfId="0" applyNumberFormat="1" applyFont="1" applyBorder="1" applyAlignment="1">
      <alignment/>
    </xf>
    <xf numFmtId="43" fontId="8" fillId="0" borderId="11" xfId="33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43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3" fontId="6" fillId="0" borderId="0" xfId="0" applyNumberFormat="1" applyFont="1" applyAlignment="1">
      <alignment horizontal="center"/>
    </xf>
    <xf numFmtId="0" fontId="8" fillId="0" borderId="12" xfId="43" applyFont="1" applyBorder="1" applyAlignment="1" applyProtection="1">
      <alignment horizontal="center"/>
      <protection/>
    </xf>
    <xf numFmtId="0" fontId="8" fillId="33" borderId="12" xfId="43" applyFont="1" applyFill="1" applyBorder="1" applyAlignment="1" applyProtection="1" quotePrefix="1">
      <alignment horizontal="left"/>
      <protection/>
    </xf>
    <xf numFmtId="43" fontId="6" fillId="0" borderId="12" xfId="33" applyFont="1" applyBorder="1" applyAlignment="1">
      <alignment horizontal="center" vertical="center"/>
    </xf>
    <xf numFmtId="43" fontId="6" fillId="0" borderId="12" xfId="33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3" fontId="6" fillId="0" borderId="0" xfId="33" applyFont="1" applyAlignment="1">
      <alignment/>
    </xf>
    <xf numFmtId="0" fontId="6" fillId="0" borderId="13" xfId="43" applyFont="1" applyBorder="1" applyAlignment="1" applyProtection="1">
      <alignment horizontal="center"/>
      <protection/>
    </xf>
    <xf numFmtId="0" fontId="8" fillId="0" borderId="13" xfId="43" applyFont="1" applyBorder="1" applyAlignment="1" applyProtection="1" quotePrefix="1">
      <alignment horizontal="left"/>
      <protection/>
    </xf>
    <xf numFmtId="43" fontId="6" fillId="0" borderId="13" xfId="33" applyFont="1" applyBorder="1" applyAlignment="1">
      <alignment horizontal="center" vertical="center"/>
    </xf>
    <xf numFmtId="43" fontId="6" fillId="0" borderId="13" xfId="33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3" xfId="44" applyFont="1" applyBorder="1" applyAlignment="1" applyProtection="1" quotePrefix="1">
      <alignment horizontal="left"/>
      <protection/>
    </xf>
    <xf numFmtId="0" fontId="8" fillId="0" borderId="13" xfId="0" applyFont="1" applyBorder="1" applyAlignment="1">
      <alignment horizontal="center"/>
    </xf>
    <xf numFmtId="43" fontId="6" fillId="0" borderId="13" xfId="33" applyFont="1" applyBorder="1" applyAlignment="1">
      <alignment/>
    </xf>
    <xf numFmtId="0" fontId="6" fillId="0" borderId="11" xfId="0" applyFont="1" applyBorder="1" applyAlignment="1">
      <alignment horizontal="center"/>
    </xf>
    <xf numFmtId="0" fontId="46" fillId="34" borderId="11" xfId="44" applyFont="1" applyFill="1" applyBorder="1" applyAlignment="1" applyProtection="1" quotePrefix="1">
      <alignment horizontal="center"/>
      <protection/>
    </xf>
    <xf numFmtId="43" fontId="6" fillId="0" borderId="11" xfId="33" applyFont="1" applyBorder="1" applyAlignment="1">
      <alignment horizontal="center" vertical="center"/>
    </xf>
    <xf numFmtId="43" fontId="6" fillId="0" borderId="11" xfId="33" applyFont="1" applyBorder="1" applyAlignment="1">
      <alignment vertical="center"/>
    </xf>
    <xf numFmtId="43" fontId="8" fillId="0" borderId="14" xfId="33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1" fontId="6" fillId="0" borderId="0" xfId="0" applyNumberFormat="1" applyFont="1" applyBorder="1" applyAlignment="1">
      <alignment horizontal="center" vertical="center"/>
    </xf>
    <xf numFmtId="0" fontId="6" fillId="0" borderId="12" xfId="44" applyFont="1" applyBorder="1" applyAlignment="1" applyProtection="1">
      <alignment horizontal="center"/>
      <protection/>
    </xf>
    <xf numFmtId="0" fontId="8" fillId="33" borderId="12" xfId="44" applyFont="1" applyFill="1" applyBorder="1" applyAlignment="1" applyProtection="1" quotePrefix="1">
      <alignment horizontal="left"/>
      <protection/>
    </xf>
    <xf numFmtId="43" fontId="8" fillId="0" borderId="12" xfId="33" applyFont="1" applyBorder="1" applyAlignment="1">
      <alignment vertical="center"/>
    </xf>
    <xf numFmtId="0" fontId="8" fillId="0" borderId="13" xfId="44" applyFont="1" applyBorder="1" applyAlignment="1" applyProtection="1">
      <alignment horizontal="center"/>
      <protection/>
    </xf>
    <xf numFmtId="43" fontId="8" fillId="0" borderId="0" xfId="33" applyFont="1" applyAlignment="1">
      <alignment/>
    </xf>
    <xf numFmtId="43" fontId="8" fillId="0" borderId="0" xfId="0" applyNumberFormat="1" applyFont="1" applyAlignment="1">
      <alignment/>
    </xf>
    <xf numFmtId="0" fontId="46" fillId="34" borderId="13" xfId="44" applyFont="1" applyFill="1" applyBorder="1" applyAlignment="1" applyProtection="1" quotePrefix="1">
      <alignment horizontal="left"/>
      <protection/>
    </xf>
    <xf numFmtId="43" fontId="6" fillId="34" borderId="13" xfId="33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43" applyFont="1" applyBorder="1" applyAlignment="1">
      <alignment/>
      <protection/>
    </xf>
    <xf numFmtId="0" fontId="8" fillId="0" borderId="0" xfId="43" applyFont="1" applyBorder="1" applyAlignment="1">
      <alignment horizontal="center"/>
      <protection/>
    </xf>
    <xf numFmtId="0" fontId="8" fillId="0" borderId="0" xfId="0" applyFont="1" applyBorder="1" applyAlignment="1">
      <alignment horizontal="right"/>
    </xf>
    <xf numFmtId="43" fontId="8" fillId="0" borderId="0" xfId="43" applyNumberFormat="1" applyFont="1" applyBorder="1" applyAlignment="1">
      <alignment horizontal="center"/>
      <protection/>
    </xf>
    <xf numFmtId="43" fontId="6" fillId="0" borderId="13" xfId="33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46" fillId="34" borderId="15" xfId="44" applyFont="1" applyFill="1" applyBorder="1" applyAlignment="1" applyProtection="1" quotePrefix="1">
      <alignment horizontal="center"/>
      <protection/>
    </xf>
    <xf numFmtId="43" fontId="6" fillId="0" borderId="15" xfId="33" applyFont="1" applyBorder="1" applyAlignment="1">
      <alignment horizontal="center" vertical="center"/>
    </xf>
    <xf numFmtId="43" fontId="6" fillId="0" borderId="15" xfId="33" applyFont="1" applyBorder="1" applyAlignment="1">
      <alignment vertical="center"/>
    </xf>
    <xf numFmtId="43" fontId="8" fillId="0" borderId="0" xfId="33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46" fillId="34" borderId="0" xfId="44" applyFont="1" applyFill="1" applyBorder="1" applyAlignment="1" applyProtection="1" quotePrefix="1">
      <alignment horizontal="center"/>
      <protection/>
    </xf>
    <xf numFmtId="43" fontId="6" fillId="0" borderId="0" xfId="33" applyFont="1" applyBorder="1" applyAlignment="1">
      <alignment horizontal="center" vertical="center"/>
    </xf>
    <xf numFmtId="43" fontId="6" fillId="0" borderId="0" xfId="33" applyFont="1" applyBorder="1" applyAlignment="1">
      <alignment vertical="center"/>
    </xf>
    <xf numFmtId="0" fontId="8" fillId="0" borderId="16" xfId="44" applyFont="1" applyBorder="1" applyAlignment="1" applyProtection="1">
      <alignment horizontal="center"/>
      <protection/>
    </xf>
    <xf numFmtId="0" fontId="8" fillId="33" borderId="16" xfId="44" applyFont="1" applyFill="1" applyBorder="1" applyAlignment="1" applyProtection="1" quotePrefix="1">
      <alignment horizontal="left"/>
      <protection/>
    </xf>
    <xf numFmtId="43" fontId="6" fillId="0" borderId="16" xfId="33" applyFont="1" applyBorder="1" applyAlignment="1">
      <alignment horizontal="center" vertical="center"/>
    </xf>
    <xf numFmtId="43" fontId="6" fillId="0" borderId="16" xfId="33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47" fillId="34" borderId="13" xfId="44" applyFont="1" applyFill="1" applyBorder="1" applyAlignment="1" applyProtection="1" quotePrefix="1">
      <alignment horizontal="left" wrapText="1"/>
      <protection/>
    </xf>
    <xf numFmtId="43" fontId="8" fillId="0" borderId="13" xfId="33" applyFont="1" applyBorder="1" applyAlignment="1">
      <alignment/>
    </xf>
    <xf numFmtId="0" fontId="6" fillId="0" borderId="13" xfId="0" applyFont="1" applyBorder="1" applyAlignment="1">
      <alignment/>
    </xf>
    <xf numFmtId="0" fontId="46" fillId="34" borderId="17" xfId="44" applyFont="1" applyFill="1" applyBorder="1" applyAlignment="1" applyProtection="1" quotePrefix="1">
      <alignment horizontal="left" wrapText="1"/>
      <protection/>
    </xf>
    <xf numFmtId="0" fontId="46" fillId="34" borderId="13" xfId="44" applyFont="1" applyFill="1" applyBorder="1" applyAlignment="1" applyProtection="1" quotePrefix="1">
      <alignment horizontal="left" wrapText="1"/>
      <protection/>
    </xf>
    <xf numFmtId="0" fontId="6" fillId="0" borderId="11" xfId="0" applyFont="1" applyBorder="1" applyAlignment="1">
      <alignment/>
    </xf>
    <xf numFmtId="43" fontId="6" fillId="0" borderId="11" xfId="33" applyFont="1" applyBorder="1" applyAlignment="1">
      <alignment/>
    </xf>
    <xf numFmtId="43" fontId="6" fillId="0" borderId="11" xfId="33" applyFont="1" applyBorder="1" applyAlignment="1">
      <alignment horizontal="center"/>
    </xf>
    <xf numFmtId="43" fontId="8" fillId="0" borderId="14" xfId="33" applyFont="1" applyBorder="1" applyAlignment="1">
      <alignment/>
    </xf>
    <xf numFmtId="0" fontId="6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43" fontId="6" fillId="0" borderId="12" xfId="33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7" xfId="0" applyFont="1" applyBorder="1" applyAlignment="1">
      <alignment/>
    </xf>
    <xf numFmtId="43" fontId="6" fillId="0" borderId="17" xfId="33" applyFont="1" applyBorder="1" applyAlignment="1">
      <alignment/>
    </xf>
    <xf numFmtId="43" fontId="6" fillId="0" borderId="17" xfId="33" applyFont="1" applyBorder="1" applyAlignment="1">
      <alignment horizontal="center"/>
    </xf>
    <xf numFmtId="43" fontId="6" fillId="0" borderId="13" xfId="33" applyNumberFormat="1" applyFont="1" applyFill="1" applyBorder="1" applyAlignment="1">
      <alignment vertical="center"/>
    </xf>
    <xf numFmtId="43" fontId="6" fillId="0" borderId="17" xfId="33" applyFont="1" applyBorder="1" applyAlignment="1">
      <alignment vertical="center"/>
    </xf>
    <xf numFmtId="0" fontId="6" fillId="0" borderId="18" xfId="0" applyFont="1" applyBorder="1" applyAlignment="1">
      <alignment/>
    </xf>
    <xf numFmtId="43" fontId="6" fillId="0" borderId="18" xfId="33" applyFont="1" applyBorder="1" applyAlignment="1">
      <alignment/>
    </xf>
    <xf numFmtId="43" fontId="8" fillId="0" borderId="19" xfId="33" applyFont="1" applyBorder="1" applyAlignment="1">
      <alignment/>
    </xf>
    <xf numFmtId="43" fontId="8" fillId="0" borderId="14" xfId="33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/>
    </xf>
    <xf numFmtId="43" fontId="6" fillId="0" borderId="13" xfId="0" applyNumberFormat="1" applyFont="1" applyBorder="1" applyAlignment="1">
      <alignment/>
    </xf>
    <xf numFmtId="43" fontId="8" fillId="0" borderId="21" xfId="3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191" fontId="6" fillId="0" borderId="13" xfId="33" applyNumberFormat="1" applyFont="1" applyBorder="1" applyAlignment="1">
      <alignment horizontal="left"/>
    </xf>
    <xf numFmtId="176" fontId="6" fillId="0" borderId="13" xfId="33" applyNumberFormat="1" applyFont="1" applyBorder="1" applyAlignment="1">
      <alignment/>
    </xf>
    <xf numFmtId="191" fontId="6" fillId="0" borderId="13" xfId="33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3" fontId="8" fillId="0" borderId="0" xfId="0" applyNumberFormat="1" applyFont="1" applyBorder="1" applyAlignment="1">
      <alignment horizontal="left"/>
    </xf>
    <xf numFmtId="43" fontId="6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0" xfId="0" applyFont="1" applyBorder="1" applyAlignment="1">
      <alignment horizontal="right"/>
    </xf>
    <xf numFmtId="0" fontId="6" fillId="0" borderId="22" xfId="0" applyFont="1" applyBorder="1" applyAlignment="1">
      <alignment vertical="top"/>
    </xf>
    <xf numFmtId="43" fontId="48" fillId="35" borderId="0" xfId="0" applyNumberFormat="1" applyFont="1" applyFill="1" applyAlignment="1">
      <alignment/>
    </xf>
    <xf numFmtId="43" fontId="6" fillId="34" borderId="13" xfId="33" applyFont="1" applyFill="1" applyBorder="1" applyAlignment="1">
      <alignment vertic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43" fontId="8" fillId="0" borderId="0" xfId="43" applyNumberFormat="1" applyFont="1" applyBorder="1" applyAlignment="1">
      <alignment horizontal="left"/>
      <protection/>
    </xf>
    <xf numFmtId="0" fontId="8" fillId="0" borderId="0" xfId="43" applyFont="1" applyBorder="1" applyAlignment="1">
      <alignment horizontal="left"/>
      <protection/>
    </xf>
    <xf numFmtId="0" fontId="8" fillId="0" borderId="0" xfId="43" applyFont="1" applyBorder="1" applyAlignment="1">
      <alignment horizontal="center"/>
      <protection/>
    </xf>
    <xf numFmtId="4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3" fontId="8" fillId="0" borderId="11" xfId="0" applyNumberFormat="1" applyFont="1" applyBorder="1" applyAlignment="1">
      <alignment horizontal="center"/>
    </xf>
    <xf numFmtId="43" fontId="8" fillId="0" borderId="37" xfId="33" applyFont="1" applyBorder="1" applyAlignment="1">
      <alignment horizontal="center"/>
    </xf>
    <xf numFmtId="43" fontId="8" fillId="0" borderId="38" xfId="33" applyFont="1" applyBorder="1" applyAlignment="1">
      <alignment horizontal="center"/>
    </xf>
    <xf numFmtId="0" fontId="8" fillId="0" borderId="11" xfId="43" applyFont="1" applyBorder="1" applyAlignment="1">
      <alignment horizontal="center"/>
      <protection/>
    </xf>
    <xf numFmtId="43" fontId="8" fillId="0" borderId="11" xfId="43" applyNumberFormat="1" applyFont="1" applyBorder="1" applyAlignment="1">
      <alignment horizontal="left"/>
      <protection/>
    </xf>
    <xf numFmtId="0" fontId="8" fillId="0" borderId="11" xfId="43" applyFont="1" applyBorder="1" applyAlignment="1">
      <alignment horizontal="left"/>
      <protection/>
    </xf>
    <xf numFmtId="0" fontId="8" fillId="0" borderId="1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5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omma 3 2" xfId="37"/>
    <cellStyle name="Comma 4" xfId="38"/>
    <cellStyle name="Currency" xfId="39"/>
    <cellStyle name="Currency [0]" xfId="40"/>
    <cellStyle name="Hyperlink" xfId="41"/>
    <cellStyle name="no dec" xfId="42"/>
    <cellStyle name="Normal 2" xfId="43"/>
    <cellStyle name="Normal 3" xfId="44"/>
    <cellStyle name="Percent" xfId="45"/>
    <cellStyle name="Percent 2" xfId="46"/>
    <cellStyle name="Percent 2 2" xfId="47"/>
    <cellStyle name="Percent 3" xfId="48"/>
    <cellStyle name="การคำนวณ" xfId="49"/>
    <cellStyle name="ข้อความเตือน" xfId="50"/>
    <cellStyle name="ข้อความอธิบาย" xfId="51"/>
    <cellStyle name="ชื่อเรื่อง" xfId="52"/>
    <cellStyle name="เซลล์ตรวจสอบ" xfId="53"/>
    <cellStyle name="เซลล์ที่มีการเชื่อมโยง" xfId="54"/>
    <cellStyle name="ดี" xfId="55"/>
    <cellStyle name="ปกติ_Book1" xfId="56"/>
    <cellStyle name="ป้อนค่า" xfId="57"/>
    <cellStyle name="ปานกลาง" xfId="58"/>
    <cellStyle name="ผลรวม" xfId="59"/>
    <cellStyle name="แย่" xfId="60"/>
    <cellStyle name="ส่วนที่ถูกเน้น1" xfId="61"/>
    <cellStyle name="ส่วนที่ถูกเน้น2" xfId="62"/>
    <cellStyle name="ส่วนที่ถูกเน้น3" xfId="63"/>
    <cellStyle name="ส่วนที่ถูกเน้น4" xfId="64"/>
    <cellStyle name="ส่วนที่ถูกเน้น5" xfId="65"/>
    <cellStyle name="ส่วนที่ถูกเน้น6" xfId="66"/>
    <cellStyle name="แสดงผล" xfId="67"/>
    <cellStyle name="หมายเหตุ" xfId="68"/>
    <cellStyle name="หัวเรื่อง 1" xfId="69"/>
    <cellStyle name="หัวเรื่อง 2" xfId="70"/>
    <cellStyle name="หัวเรื่อง 3" xfId="71"/>
    <cellStyle name="หัวเรื่อง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1162050</xdr:colOff>
      <xdr:row>27</xdr:row>
      <xdr:rowOff>28575</xdr:rowOff>
    </xdr:from>
    <xdr:to>
      <xdr:col>4</xdr:col>
      <xdr:colOff>485775</xdr:colOff>
      <xdr:row>31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52625" y="7372350"/>
          <a:ext cx="36576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..............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................................)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ประธานกรรมการ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นายธรรมนูญ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ทองประไพ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หัวหน้ากองงานฟาร์ม</a:t>
          </a:r>
        </a:p>
      </xdr:txBody>
    </xdr:sp>
    <xdr:clientData/>
  </xdr:twoCellAnchor>
  <xdr:twoCellAnchor>
    <xdr:from>
      <xdr:col>1</xdr:col>
      <xdr:colOff>990600</xdr:colOff>
      <xdr:row>32</xdr:row>
      <xdr:rowOff>19050</xdr:rowOff>
    </xdr:from>
    <xdr:to>
      <xdr:col>4</xdr:col>
      <xdr:colOff>304800</xdr:colOff>
      <xdr:row>36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81175" y="8696325"/>
          <a:ext cx="36480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..............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................................)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กรรมการ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นายวิรัช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รุ่งปภานันท์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หัวหน้าแผนกฟาร์มอินทรีย์</a:t>
          </a:r>
        </a:p>
      </xdr:txBody>
    </xdr:sp>
    <xdr:clientData/>
  </xdr:twoCellAnchor>
  <xdr:twoCellAnchor>
    <xdr:from>
      <xdr:col>1</xdr:col>
      <xdr:colOff>1257300</xdr:colOff>
      <xdr:row>37</xdr:row>
      <xdr:rowOff>47625</xdr:rowOff>
    </xdr:from>
    <xdr:to>
      <xdr:col>4</xdr:col>
      <xdr:colOff>581025</xdr:colOff>
      <xdr:row>41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47875" y="10058400"/>
          <a:ext cx="36576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..............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................................)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กรรมการเลขนุการ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นายธนกร  ทองดี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ช่างโยธา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view="pageBreakPreview" zoomScale="95" zoomScaleSheetLayoutView="95" zoomScalePageLayoutView="0" workbookViewId="0" topLeftCell="B1">
      <selection activeCell="B31" sqref="B31"/>
    </sheetView>
  </sheetViews>
  <sheetFormatPr defaultColWidth="9.140625" defaultRowHeight="12.75"/>
  <cols>
    <col min="1" max="1" width="10.140625" style="5" customWidth="1"/>
    <col min="2" max="2" width="79.00390625" style="5" customWidth="1"/>
    <col min="3" max="3" width="13.28125" style="5" customWidth="1"/>
    <col min="4" max="4" width="13.140625" style="5" customWidth="1"/>
    <col min="5" max="5" width="14.00390625" style="5" customWidth="1"/>
    <col min="6" max="6" width="13.57421875" style="5" customWidth="1"/>
    <col min="7" max="7" width="15.28125" style="5" customWidth="1"/>
    <col min="8" max="8" width="14.57421875" style="5" customWidth="1"/>
    <col min="9" max="10" width="16.57421875" style="5" customWidth="1"/>
    <col min="11" max="11" width="20.00390625" style="5" customWidth="1"/>
    <col min="12" max="12" width="26.8515625" style="5" customWidth="1"/>
    <col min="13" max="13" width="12.7109375" style="5" customWidth="1"/>
    <col min="14" max="14" width="13.57421875" style="5" customWidth="1"/>
    <col min="15" max="15" width="30.00390625" style="5" customWidth="1"/>
    <col min="16" max="16" width="26.140625" style="5" customWidth="1"/>
    <col min="17" max="17" width="25.421875" style="5" customWidth="1"/>
    <col min="18" max="18" width="20.57421875" style="5" customWidth="1"/>
    <col min="19" max="16384" width="9.140625" style="5" customWidth="1"/>
  </cols>
  <sheetData>
    <row r="1" spans="1:18" ht="34.5" customHeight="1">
      <c r="A1" s="136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2"/>
      <c r="L1" s="3"/>
      <c r="M1" s="149" t="s">
        <v>60</v>
      </c>
      <c r="N1" s="149"/>
      <c r="O1" s="149"/>
      <c r="P1" s="149"/>
      <c r="Q1" s="149"/>
      <c r="R1" s="3"/>
    </row>
    <row r="2" spans="9:18" ht="24">
      <c r="I2" s="137"/>
      <c r="J2" s="137"/>
      <c r="K2" s="6"/>
      <c r="L2" s="3"/>
      <c r="M2" s="149" t="s">
        <v>61</v>
      </c>
      <c r="N2" s="149"/>
      <c r="O2" s="4" t="s">
        <v>62</v>
      </c>
      <c r="P2" s="4" t="s">
        <v>63</v>
      </c>
      <c r="Q2" s="4" t="s">
        <v>64</v>
      </c>
      <c r="R2" s="3"/>
    </row>
    <row r="3" spans="1:18" ht="24">
      <c r="A3" s="7" t="s">
        <v>84</v>
      </c>
      <c r="B3" s="7"/>
      <c r="C3" s="7"/>
      <c r="D3" s="7"/>
      <c r="E3" s="7"/>
      <c r="F3" s="7"/>
      <c r="G3" s="7"/>
      <c r="H3" s="7"/>
      <c r="L3" s="3"/>
      <c r="M3" s="150">
        <v>2.22</v>
      </c>
      <c r="N3" s="151"/>
      <c r="O3" s="4">
        <v>4.99</v>
      </c>
      <c r="P3" s="4">
        <v>8.88</v>
      </c>
      <c r="Q3" s="4">
        <v>15.8</v>
      </c>
      <c r="R3" s="3"/>
    </row>
    <row r="4" spans="1:18" ht="24">
      <c r="A4" s="7" t="s">
        <v>74</v>
      </c>
      <c r="B4" s="7"/>
      <c r="C4" s="7"/>
      <c r="D4" s="7"/>
      <c r="L4" s="8" t="s">
        <v>65</v>
      </c>
      <c r="M4" s="150">
        <f>92.18+21.87+468.13+55.08+185.57+90.02</f>
        <v>912.8500000000001</v>
      </c>
      <c r="N4" s="151"/>
      <c r="O4" s="9">
        <f>79.53+17.01+62.66+12.96+288+48.6+192.8</f>
        <v>701.56</v>
      </c>
      <c r="P4" s="9">
        <f>404.88+106.92</f>
        <v>511.8</v>
      </c>
      <c r="Q4" s="9">
        <v>0</v>
      </c>
      <c r="R4" s="3"/>
    </row>
    <row r="5" spans="1:18" ht="24">
      <c r="A5" s="7" t="s">
        <v>75</v>
      </c>
      <c r="B5" s="7"/>
      <c r="C5" s="7"/>
      <c r="D5" s="7"/>
      <c r="G5" s="7" t="s">
        <v>88</v>
      </c>
      <c r="H5" s="7"/>
      <c r="I5" s="7"/>
      <c r="L5" s="8" t="s">
        <v>72</v>
      </c>
      <c r="M5" s="146">
        <f>M4*1.05</f>
        <v>958.4925000000002</v>
      </c>
      <c r="N5" s="139"/>
      <c r="O5" s="11">
        <f>O4*1.07</f>
        <v>750.6691999999999</v>
      </c>
      <c r="P5" s="11">
        <f>P4*1.09</f>
        <v>557.8620000000001</v>
      </c>
      <c r="Q5" s="12">
        <v>0</v>
      </c>
      <c r="R5" s="3"/>
    </row>
    <row r="6" spans="1:18" ht="24">
      <c r="A6" s="138" t="s">
        <v>90</v>
      </c>
      <c r="B6" s="138"/>
      <c r="C6" s="138"/>
      <c r="D6" s="138"/>
      <c r="L6" s="8" t="s">
        <v>66</v>
      </c>
      <c r="M6" s="147">
        <f>M3*M5</f>
        <v>2127.853350000001</v>
      </c>
      <c r="N6" s="148"/>
      <c r="O6" s="11">
        <f>O3*O5</f>
        <v>3745.8393079999996</v>
      </c>
      <c r="P6" s="11">
        <f>P3*P5</f>
        <v>4953.814560000001</v>
      </c>
      <c r="Q6" s="12">
        <v>0</v>
      </c>
      <c r="R6" s="3"/>
    </row>
    <row r="7" spans="1:18" ht="24">
      <c r="A7" s="13"/>
      <c r="B7" s="13"/>
      <c r="C7" s="13"/>
      <c r="D7" s="13"/>
      <c r="L7" s="3"/>
      <c r="M7" s="3"/>
      <c r="N7" s="3"/>
      <c r="O7" s="3"/>
      <c r="P7" s="3"/>
      <c r="Q7" s="11">
        <f>M6+O6+P6+Q6</f>
        <v>10827.507218</v>
      </c>
      <c r="R7" s="3" t="s">
        <v>67</v>
      </c>
    </row>
    <row r="8" spans="1:18" s="16" customFormat="1" ht="30.75" customHeight="1">
      <c r="A8" s="140" t="s">
        <v>0</v>
      </c>
      <c r="B8" s="140" t="s">
        <v>1</v>
      </c>
      <c r="C8" s="140" t="s">
        <v>2</v>
      </c>
      <c r="D8" s="140" t="s">
        <v>3</v>
      </c>
      <c r="E8" s="139" t="s">
        <v>4</v>
      </c>
      <c r="F8" s="139"/>
      <c r="G8" s="139" t="s">
        <v>7</v>
      </c>
      <c r="H8" s="139"/>
      <c r="I8" s="140" t="s">
        <v>8</v>
      </c>
      <c r="J8" s="140" t="s">
        <v>9</v>
      </c>
      <c r="K8" s="14"/>
      <c r="L8" s="3" t="s">
        <v>68</v>
      </c>
      <c r="M8" s="15">
        <f>Q7/1000</f>
        <v>10.827507218000001</v>
      </c>
      <c r="N8" s="3"/>
      <c r="O8" s="3"/>
      <c r="P8" s="3"/>
      <c r="Q8" s="3"/>
      <c r="R8" s="3"/>
    </row>
    <row r="9" spans="1:13" s="16" customFormat="1" ht="30" customHeight="1">
      <c r="A9" s="140"/>
      <c r="B9" s="140"/>
      <c r="C9" s="140"/>
      <c r="D9" s="140"/>
      <c r="E9" s="10" t="s">
        <v>5</v>
      </c>
      <c r="F9" s="10" t="s">
        <v>6</v>
      </c>
      <c r="G9" s="10" t="s">
        <v>5</v>
      </c>
      <c r="H9" s="10" t="s">
        <v>6</v>
      </c>
      <c r="I9" s="140"/>
      <c r="J9" s="140"/>
      <c r="K9" s="14"/>
      <c r="L9" s="3" t="s">
        <v>69</v>
      </c>
      <c r="M9" s="17">
        <f>M8*30</f>
        <v>324.82521654000004</v>
      </c>
    </row>
    <row r="10" spans="1:13" ht="24">
      <c r="A10" s="18" t="s">
        <v>14</v>
      </c>
      <c r="B10" s="19" t="s">
        <v>54</v>
      </c>
      <c r="C10" s="20"/>
      <c r="D10" s="20"/>
      <c r="E10" s="21"/>
      <c r="F10" s="21"/>
      <c r="G10" s="21"/>
      <c r="H10" s="21"/>
      <c r="I10" s="21"/>
      <c r="J10" s="22"/>
      <c r="K10" s="23"/>
      <c r="L10" s="3" t="s">
        <v>70</v>
      </c>
      <c r="M10" s="24">
        <f>M11*0.25</f>
        <v>75</v>
      </c>
    </row>
    <row r="11" spans="1:13" ht="24">
      <c r="A11" s="25" t="s">
        <v>15</v>
      </c>
      <c r="B11" s="26" t="s">
        <v>16</v>
      </c>
      <c r="C11" s="27"/>
      <c r="D11" s="27"/>
      <c r="E11" s="28"/>
      <c r="F11" s="28"/>
      <c r="G11" s="28"/>
      <c r="H11" s="28"/>
      <c r="I11" s="28"/>
      <c r="J11" s="29"/>
      <c r="K11" s="23"/>
      <c r="L11" s="30" t="s">
        <v>71</v>
      </c>
      <c r="M11" s="24">
        <f>C19</f>
        <v>300</v>
      </c>
    </row>
    <row r="12" spans="1:13" ht="24">
      <c r="A12" s="25"/>
      <c r="B12" s="31" t="s">
        <v>89</v>
      </c>
      <c r="C12" s="27">
        <v>1</v>
      </c>
      <c r="D12" s="27" t="s">
        <v>85</v>
      </c>
      <c r="E12" s="28">
        <v>0</v>
      </c>
      <c r="F12" s="28">
        <f>C12*E12</f>
        <v>0</v>
      </c>
      <c r="G12" s="28">
        <v>1500</v>
      </c>
      <c r="H12" s="28">
        <f>C12*G12</f>
        <v>1500</v>
      </c>
      <c r="I12" s="28">
        <f>F12+H12</f>
        <v>1500</v>
      </c>
      <c r="J12" s="29"/>
      <c r="K12" s="23"/>
      <c r="L12" s="30"/>
      <c r="M12" s="24"/>
    </row>
    <row r="13" spans="1:12" ht="24">
      <c r="A13" s="32"/>
      <c r="B13" s="31" t="s">
        <v>79</v>
      </c>
      <c r="C13" s="27">
        <f>ROUND((228),0)</f>
        <v>228</v>
      </c>
      <c r="D13" s="27" t="s">
        <v>13</v>
      </c>
      <c r="E13" s="33">
        <v>0</v>
      </c>
      <c r="F13" s="28">
        <f>C13*E13</f>
        <v>0</v>
      </c>
      <c r="G13" s="28">
        <v>60</v>
      </c>
      <c r="H13" s="28">
        <f>C13*G13</f>
        <v>13680</v>
      </c>
      <c r="I13" s="28">
        <f>F13+H13</f>
        <v>13680</v>
      </c>
      <c r="J13" s="29"/>
      <c r="K13" s="23"/>
      <c r="L13" s="30"/>
    </row>
    <row r="14" spans="1:12" ht="24">
      <c r="A14" s="32"/>
      <c r="B14" s="31" t="s">
        <v>22</v>
      </c>
      <c r="C14" s="27">
        <f>ROUND((8),0)</f>
        <v>8</v>
      </c>
      <c r="D14" s="27" t="s">
        <v>13</v>
      </c>
      <c r="E14" s="126">
        <v>455.61</v>
      </c>
      <c r="F14" s="28">
        <f>C14*E14</f>
        <v>3644.88</v>
      </c>
      <c r="G14" s="28">
        <v>99</v>
      </c>
      <c r="H14" s="28">
        <f>C14*G14</f>
        <v>792</v>
      </c>
      <c r="I14" s="28">
        <f>F14+H14</f>
        <v>4436.88</v>
      </c>
      <c r="J14" s="29"/>
      <c r="K14" s="23"/>
      <c r="L14" s="30"/>
    </row>
    <row r="15" spans="1:12" ht="24.75" customHeight="1" thickBot="1">
      <c r="A15" s="34"/>
      <c r="B15" s="35" t="s">
        <v>28</v>
      </c>
      <c r="C15" s="36"/>
      <c r="D15" s="36"/>
      <c r="E15" s="37"/>
      <c r="F15" s="37"/>
      <c r="G15" s="37"/>
      <c r="H15" s="37"/>
      <c r="I15" s="38">
        <f>SUM(I12:I14)</f>
        <v>19616.88</v>
      </c>
      <c r="J15" s="39"/>
      <c r="K15" s="40">
        <f>I15</f>
        <v>19616.88</v>
      </c>
      <c r="L15" s="30"/>
    </row>
    <row r="16" spans="1:16" s="3" customFormat="1" ht="24.75" thickTop="1">
      <c r="A16" s="41" t="s">
        <v>17</v>
      </c>
      <c r="B16" s="42" t="s">
        <v>18</v>
      </c>
      <c r="C16" s="20"/>
      <c r="D16" s="20"/>
      <c r="E16" s="21"/>
      <c r="F16" s="21"/>
      <c r="G16" s="21"/>
      <c r="H16" s="21"/>
      <c r="I16" s="43"/>
      <c r="J16" s="22"/>
      <c r="K16" s="23"/>
      <c r="L16" s="30"/>
      <c r="N16" s="3">
        <v>958</v>
      </c>
      <c r="O16" s="3">
        <v>751</v>
      </c>
      <c r="P16" s="3">
        <v>558</v>
      </c>
    </row>
    <row r="17" spans="1:16" s="3" customFormat="1" ht="21">
      <c r="A17" s="44"/>
      <c r="B17" s="31" t="s">
        <v>23</v>
      </c>
      <c r="C17" s="27">
        <f>ROUND((8),0)</f>
        <v>8</v>
      </c>
      <c r="D17" s="27" t="s">
        <v>13</v>
      </c>
      <c r="E17" s="28">
        <v>1920.56</v>
      </c>
      <c r="F17" s="28">
        <f>C17*E17</f>
        <v>15364.48</v>
      </c>
      <c r="G17" s="28">
        <v>398</v>
      </c>
      <c r="H17" s="28">
        <f>C17*G17</f>
        <v>3184</v>
      </c>
      <c r="I17" s="28">
        <f>F17+H17</f>
        <v>18548.48</v>
      </c>
      <c r="J17" s="29"/>
      <c r="K17" s="23"/>
      <c r="L17" s="30"/>
      <c r="N17" s="3">
        <v>2.22</v>
      </c>
      <c r="O17" s="3">
        <v>4.99</v>
      </c>
      <c r="P17" s="3">
        <v>8.88</v>
      </c>
    </row>
    <row r="18" spans="1:17" s="3" customFormat="1" ht="21">
      <c r="A18" s="44"/>
      <c r="B18" s="31" t="s">
        <v>24</v>
      </c>
      <c r="C18" s="27">
        <f>ROUND((125),0)</f>
        <v>125</v>
      </c>
      <c r="D18" s="27" t="s">
        <v>13</v>
      </c>
      <c r="E18" s="28">
        <v>1836.45</v>
      </c>
      <c r="F18" s="28">
        <f aca="true" t="shared" si="0" ref="F18:F24">C18*E18</f>
        <v>229556.25</v>
      </c>
      <c r="G18" s="28">
        <v>306</v>
      </c>
      <c r="H18" s="28">
        <f aca="true" t="shared" si="1" ref="H18:H24">C18*G18</f>
        <v>38250</v>
      </c>
      <c r="I18" s="28">
        <f aca="true" t="shared" si="2" ref="I18:I24">F18+H18</f>
        <v>267806.25</v>
      </c>
      <c r="J18" s="29"/>
      <c r="K18" s="23"/>
      <c r="L18" s="30"/>
      <c r="N18" s="45">
        <f>N16*N17</f>
        <v>2126.76</v>
      </c>
      <c r="O18" s="45">
        <f>O16*O17</f>
        <v>3747.4900000000002</v>
      </c>
      <c r="P18" s="45">
        <f>P16*P17</f>
        <v>4955.040000000001</v>
      </c>
      <c r="Q18" s="46">
        <f>SUM(N18:P18)</f>
        <v>10829.29</v>
      </c>
    </row>
    <row r="19" spans="1:18" s="3" customFormat="1" ht="21">
      <c r="A19" s="44"/>
      <c r="B19" s="47" t="s">
        <v>78</v>
      </c>
      <c r="C19" s="48">
        <v>300</v>
      </c>
      <c r="D19" s="27" t="s">
        <v>11</v>
      </c>
      <c r="E19" s="28">
        <v>400</v>
      </c>
      <c r="F19" s="28">
        <f t="shared" si="0"/>
        <v>120000</v>
      </c>
      <c r="G19" s="28">
        <v>133</v>
      </c>
      <c r="H19" s="28">
        <f t="shared" si="1"/>
        <v>39900</v>
      </c>
      <c r="I19" s="28">
        <f t="shared" si="2"/>
        <v>159900</v>
      </c>
      <c r="J19" s="29"/>
      <c r="K19" s="23">
        <v>1227.26</v>
      </c>
      <c r="L19" s="30">
        <v>144</v>
      </c>
      <c r="M19" s="49">
        <f>K19+L19</f>
        <v>1371.26</v>
      </c>
      <c r="N19" s="50"/>
      <c r="O19" s="50"/>
      <c r="P19" s="50"/>
      <c r="Q19" s="50"/>
      <c r="R19" s="50"/>
    </row>
    <row r="20" spans="1:18" s="3" customFormat="1" ht="21">
      <c r="A20" s="44"/>
      <c r="B20" s="31" t="s">
        <v>25</v>
      </c>
      <c r="C20" s="27">
        <v>2000</v>
      </c>
      <c r="D20" s="48" t="s">
        <v>12</v>
      </c>
      <c r="E20" s="126">
        <v>20.5</v>
      </c>
      <c r="F20" s="28">
        <f t="shared" si="0"/>
        <v>41000</v>
      </c>
      <c r="G20" s="28">
        <v>4.1</v>
      </c>
      <c r="H20" s="28">
        <f t="shared" si="1"/>
        <v>8200</v>
      </c>
      <c r="I20" s="28">
        <f t="shared" si="2"/>
        <v>49200</v>
      </c>
      <c r="J20" s="29"/>
      <c r="K20" s="23"/>
      <c r="L20" s="30"/>
      <c r="M20" s="49">
        <f>M19*0.8</f>
        <v>1097.008</v>
      </c>
      <c r="N20" s="143"/>
      <c r="O20" s="143"/>
      <c r="P20" s="51"/>
      <c r="Q20" s="51"/>
      <c r="R20" s="51"/>
    </row>
    <row r="21" spans="1:18" s="3" customFormat="1" ht="21">
      <c r="A21" s="44"/>
      <c r="B21" s="31" t="s">
        <v>30</v>
      </c>
      <c r="C21" s="27">
        <v>3700</v>
      </c>
      <c r="D21" s="48" t="s">
        <v>12</v>
      </c>
      <c r="E21" s="126">
        <v>21.23</v>
      </c>
      <c r="F21" s="28">
        <f t="shared" si="0"/>
        <v>78551</v>
      </c>
      <c r="G21" s="28">
        <v>4.1</v>
      </c>
      <c r="H21" s="28">
        <f t="shared" si="1"/>
        <v>15169.999999999998</v>
      </c>
      <c r="I21" s="28">
        <f t="shared" si="2"/>
        <v>93721</v>
      </c>
      <c r="J21" s="29"/>
      <c r="K21" s="23"/>
      <c r="L21" s="30"/>
      <c r="M21" s="49"/>
      <c r="N21" s="141"/>
      <c r="O21" s="142"/>
      <c r="P21" s="51"/>
      <c r="Q21" s="51"/>
      <c r="R21" s="51"/>
    </row>
    <row r="22" spans="1:18" s="3" customFormat="1" ht="21">
      <c r="A22" s="44"/>
      <c r="B22" s="31" t="s">
        <v>97</v>
      </c>
      <c r="C22" s="27">
        <v>4900</v>
      </c>
      <c r="D22" s="48" t="s">
        <v>12</v>
      </c>
      <c r="E22" s="126">
        <v>20.54</v>
      </c>
      <c r="F22" s="28">
        <f t="shared" si="0"/>
        <v>100646</v>
      </c>
      <c r="G22" s="28">
        <v>3.3</v>
      </c>
      <c r="H22" s="28">
        <f t="shared" si="1"/>
        <v>16170</v>
      </c>
      <c r="I22" s="28">
        <f t="shared" si="2"/>
        <v>116816</v>
      </c>
      <c r="J22" s="29"/>
      <c r="K22" s="23"/>
      <c r="L22" s="30"/>
      <c r="M22" s="52"/>
      <c r="N22" s="141"/>
      <c r="O22" s="142"/>
      <c r="P22" s="53"/>
      <c r="Q22" s="53"/>
      <c r="R22" s="53"/>
    </row>
    <row r="23" spans="1:18" s="3" customFormat="1" ht="21">
      <c r="A23" s="32"/>
      <c r="B23" s="31" t="s">
        <v>26</v>
      </c>
      <c r="C23" s="27">
        <v>320</v>
      </c>
      <c r="D23" s="54" t="s">
        <v>12</v>
      </c>
      <c r="E23" s="126">
        <v>43.31</v>
      </c>
      <c r="F23" s="28">
        <f t="shared" si="0"/>
        <v>13859.2</v>
      </c>
      <c r="G23" s="28">
        <v>0</v>
      </c>
      <c r="H23" s="28">
        <f t="shared" si="1"/>
        <v>0</v>
      </c>
      <c r="I23" s="28">
        <f t="shared" si="2"/>
        <v>13859.2</v>
      </c>
      <c r="J23" s="29"/>
      <c r="K23" s="23"/>
      <c r="L23" s="30"/>
      <c r="M23" s="49"/>
      <c r="N23" s="144"/>
      <c r="O23" s="145"/>
      <c r="P23" s="56"/>
      <c r="Q23" s="56"/>
      <c r="R23" s="49"/>
    </row>
    <row r="24" spans="1:18" s="3" customFormat="1" ht="21">
      <c r="A24" s="44"/>
      <c r="B24" s="31" t="s">
        <v>27</v>
      </c>
      <c r="C24" s="27">
        <f>ROUND((M10),0)</f>
        <v>75</v>
      </c>
      <c r="D24" s="54" t="s">
        <v>12</v>
      </c>
      <c r="E24" s="28">
        <v>56.07</v>
      </c>
      <c r="F24" s="28">
        <f t="shared" si="0"/>
        <v>4205.25</v>
      </c>
      <c r="G24" s="28">
        <v>0</v>
      </c>
      <c r="H24" s="28">
        <f t="shared" si="1"/>
        <v>0</v>
      </c>
      <c r="I24" s="28">
        <f t="shared" si="2"/>
        <v>4205.25</v>
      </c>
      <c r="J24" s="29"/>
      <c r="K24" s="23"/>
      <c r="L24" s="30"/>
      <c r="M24" s="49"/>
      <c r="N24" s="49"/>
      <c r="O24" s="49"/>
      <c r="P24" s="49"/>
      <c r="Q24" s="49"/>
      <c r="R24" s="56"/>
    </row>
    <row r="25" spans="1:18" s="3" customFormat="1" ht="26.25" customHeight="1" thickBot="1">
      <c r="A25" s="10"/>
      <c r="B25" s="35" t="s">
        <v>29</v>
      </c>
      <c r="C25" s="36"/>
      <c r="D25" s="36"/>
      <c r="E25" s="37"/>
      <c r="F25" s="37"/>
      <c r="G25" s="37"/>
      <c r="H25" s="37"/>
      <c r="I25" s="38">
        <f>SUM(I17:I24)</f>
        <v>724056.1799999999</v>
      </c>
      <c r="J25" s="39"/>
      <c r="K25" s="40">
        <f>I25</f>
        <v>724056.1799999999</v>
      </c>
      <c r="L25" s="30"/>
      <c r="M25" s="49"/>
      <c r="N25" s="49"/>
      <c r="O25" s="49"/>
      <c r="P25" s="56"/>
      <c r="Q25" s="49"/>
      <c r="R25" s="49"/>
    </row>
    <row r="26" spans="1:18" s="3" customFormat="1" ht="26.25" customHeight="1" thickTop="1">
      <c r="A26" s="57"/>
      <c r="B26" s="58"/>
      <c r="C26" s="59"/>
      <c r="D26" s="59"/>
      <c r="E26" s="60"/>
      <c r="F26" s="60"/>
      <c r="G26" s="60"/>
      <c r="H26" s="60"/>
      <c r="I26" s="61"/>
      <c r="J26" s="62"/>
      <c r="K26" s="40"/>
      <c r="L26" s="30"/>
      <c r="M26" s="49"/>
      <c r="N26" s="49"/>
      <c r="O26" s="49"/>
      <c r="P26" s="56"/>
      <c r="Q26" s="49"/>
      <c r="R26" s="49"/>
    </row>
    <row r="27" spans="1:18" s="3" customFormat="1" ht="26.25" customHeight="1">
      <c r="A27" s="55"/>
      <c r="B27" s="63"/>
      <c r="C27" s="64"/>
      <c r="D27" s="64"/>
      <c r="E27" s="65"/>
      <c r="F27" s="65"/>
      <c r="G27" s="65"/>
      <c r="H27" s="65"/>
      <c r="I27" s="61"/>
      <c r="J27" s="23"/>
      <c r="K27" s="40"/>
      <c r="L27" s="30"/>
      <c r="M27" s="49"/>
      <c r="N27" s="49"/>
      <c r="O27" s="49"/>
      <c r="P27" s="56"/>
      <c r="Q27" s="49"/>
      <c r="R27" s="49"/>
    </row>
    <row r="28" spans="1:18" s="3" customFormat="1" ht="26.25" customHeight="1">
      <c r="A28" s="55"/>
      <c r="B28" s="63"/>
      <c r="C28" s="64"/>
      <c r="D28" s="64"/>
      <c r="E28" s="65"/>
      <c r="F28" s="65"/>
      <c r="G28" s="65"/>
      <c r="H28" s="65"/>
      <c r="I28" s="61"/>
      <c r="J28" s="23"/>
      <c r="K28" s="40"/>
      <c r="L28" s="30"/>
      <c r="M28" s="49"/>
      <c r="N28" s="49"/>
      <c r="O28" s="49"/>
      <c r="P28" s="56"/>
      <c r="Q28" s="49"/>
      <c r="R28" s="49"/>
    </row>
    <row r="29" spans="1:18" s="3" customFormat="1" ht="26.25" customHeight="1">
      <c r="A29" s="55"/>
      <c r="B29" s="63"/>
      <c r="C29" s="64"/>
      <c r="D29" s="64"/>
      <c r="E29" s="65"/>
      <c r="F29" s="65"/>
      <c r="G29" s="65"/>
      <c r="H29" s="65"/>
      <c r="I29" s="61"/>
      <c r="J29" s="23"/>
      <c r="K29" s="40"/>
      <c r="L29" s="30"/>
      <c r="M29" s="49"/>
      <c r="N29" s="49"/>
      <c r="O29" s="49"/>
      <c r="P29" s="56"/>
      <c r="Q29" s="49"/>
      <c r="R29" s="49"/>
    </row>
    <row r="30" spans="1:18" s="3" customFormat="1" ht="26.25" customHeight="1">
      <c r="A30" s="55"/>
      <c r="B30" s="63"/>
      <c r="C30" s="64"/>
      <c r="D30" s="64"/>
      <c r="E30" s="65"/>
      <c r="F30" s="65"/>
      <c r="G30" s="65"/>
      <c r="H30" s="65"/>
      <c r="I30" s="61"/>
      <c r="J30" s="23"/>
      <c r="K30" s="40"/>
      <c r="L30" s="30"/>
      <c r="M30" s="49"/>
      <c r="N30" s="49"/>
      <c r="O30" s="49"/>
      <c r="P30" s="56"/>
      <c r="Q30" s="49"/>
      <c r="R30" s="49"/>
    </row>
    <row r="31" spans="1:18" s="3" customFormat="1" ht="26.25" customHeight="1">
      <c r="A31" s="55"/>
      <c r="B31" s="63"/>
      <c r="C31" s="64"/>
      <c r="D31" s="64"/>
      <c r="E31" s="65"/>
      <c r="F31" s="65"/>
      <c r="G31" s="65"/>
      <c r="H31" s="65"/>
      <c r="I31" s="61"/>
      <c r="J31" s="23"/>
      <c r="K31" s="40"/>
      <c r="L31" s="30"/>
      <c r="M31" s="49"/>
      <c r="N31" s="49"/>
      <c r="O31" s="49"/>
      <c r="P31" s="56"/>
      <c r="Q31" s="49"/>
      <c r="R31" s="49"/>
    </row>
    <row r="32" spans="1:18" s="3" customFormat="1" ht="21">
      <c r="A32" s="66" t="s">
        <v>19</v>
      </c>
      <c r="B32" s="67" t="s">
        <v>20</v>
      </c>
      <c r="C32" s="68"/>
      <c r="D32" s="68"/>
      <c r="E32" s="69"/>
      <c r="F32" s="69"/>
      <c r="G32" s="69"/>
      <c r="H32" s="69"/>
      <c r="I32" s="69"/>
      <c r="J32" s="70"/>
      <c r="K32" s="23"/>
      <c r="L32" s="30"/>
      <c r="M32" s="56">
        <f>7.01*6*C32</f>
        <v>0</v>
      </c>
      <c r="N32" s="49"/>
      <c r="O32" s="49"/>
      <c r="P32" s="49"/>
      <c r="Q32" s="49"/>
      <c r="R32" s="49"/>
    </row>
    <row r="33" spans="1:10" ht="21">
      <c r="A33" s="71" t="s">
        <v>21</v>
      </c>
      <c r="B33" s="72" t="s">
        <v>80</v>
      </c>
      <c r="C33" s="33"/>
      <c r="D33" s="27"/>
      <c r="E33" s="33"/>
      <c r="F33" s="33"/>
      <c r="G33" s="33"/>
      <c r="H33" s="33"/>
      <c r="I33" s="73"/>
      <c r="J33" s="74"/>
    </row>
    <row r="34" spans="1:10" ht="21">
      <c r="A34" s="74"/>
      <c r="B34" s="75" t="s">
        <v>82</v>
      </c>
      <c r="C34" s="33">
        <f>513</f>
        <v>513</v>
      </c>
      <c r="D34" s="27" t="s">
        <v>11</v>
      </c>
      <c r="E34" s="28">
        <v>93</v>
      </c>
      <c r="F34" s="28">
        <f>C34*E34</f>
        <v>47709</v>
      </c>
      <c r="G34" s="33">
        <v>89</v>
      </c>
      <c r="H34" s="28">
        <f>C34*G34</f>
        <v>45657</v>
      </c>
      <c r="I34" s="28">
        <f>F34+H34</f>
        <v>93366</v>
      </c>
      <c r="J34" s="71" t="s">
        <v>83</v>
      </c>
    </row>
    <row r="35" spans="1:10" ht="21">
      <c r="A35" s="74"/>
      <c r="B35" s="76" t="s">
        <v>81</v>
      </c>
      <c r="C35" s="33">
        <f>ROUND((390),0)</f>
        <v>390</v>
      </c>
      <c r="D35" s="27" t="s">
        <v>11</v>
      </c>
      <c r="E35" s="21">
        <v>58</v>
      </c>
      <c r="F35" s="28">
        <f>C35*E35</f>
        <v>22620</v>
      </c>
      <c r="G35" s="33">
        <v>82</v>
      </c>
      <c r="H35" s="28">
        <f>C35*G35</f>
        <v>31980</v>
      </c>
      <c r="I35" s="28">
        <f>F35+H35</f>
        <v>54600</v>
      </c>
      <c r="J35" s="71"/>
    </row>
    <row r="36" spans="1:11" ht="21.75" thickBot="1">
      <c r="A36" s="77"/>
      <c r="B36" s="35" t="s">
        <v>58</v>
      </c>
      <c r="C36" s="78"/>
      <c r="D36" s="79"/>
      <c r="E36" s="37"/>
      <c r="F36" s="37"/>
      <c r="G36" s="37"/>
      <c r="H36" s="37"/>
      <c r="I36" s="80">
        <f>SUM(I34:I35)</f>
        <v>147966</v>
      </c>
      <c r="J36" s="77"/>
      <c r="K36" s="15">
        <f>I36</f>
        <v>147966</v>
      </c>
    </row>
    <row r="37" spans="1:10" ht="21.75" thickTop="1">
      <c r="A37" s="81" t="s">
        <v>55</v>
      </c>
      <c r="B37" s="82" t="s">
        <v>56</v>
      </c>
      <c r="C37" s="83"/>
      <c r="D37" s="83"/>
      <c r="E37" s="83"/>
      <c r="F37" s="83"/>
      <c r="G37" s="83"/>
      <c r="H37" s="83"/>
      <c r="I37" s="83"/>
      <c r="J37" s="84"/>
    </row>
    <row r="38" spans="1:10" ht="21">
      <c r="A38" s="85"/>
      <c r="B38" s="75" t="s">
        <v>57</v>
      </c>
      <c r="C38" s="86">
        <f>ROUNDUP((380),0)</f>
        <v>380</v>
      </c>
      <c r="D38" s="87" t="s">
        <v>12</v>
      </c>
      <c r="E38" s="88">
        <v>56.07</v>
      </c>
      <c r="F38" s="89">
        <f>C38*E38</f>
        <v>21306.6</v>
      </c>
      <c r="G38" s="86">
        <v>5</v>
      </c>
      <c r="H38" s="89">
        <f>C38*G38</f>
        <v>1900</v>
      </c>
      <c r="I38" s="28">
        <f>F38+H38</f>
        <v>23206.6</v>
      </c>
      <c r="J38" s="85"/>
    </row>
    <row r="39" spans="1:11" ht="21.75" thickBot="1">
      <c r="A39" s="77"/>
      <c r="B39" s="35" t="s">
        <v>59</v>
      </c>
      <c r="C39" s="78"/>
      <c r="D39" s="79"/>
      <c r="E39" s="78"/>
      <c r="F39" s="37"/>
      <c r="G39" s="78"/>
      <c r="H39" s="37"/>
      <c r="I39" s="80">
        <f>SUM(I38)</f>
        <v>23206.6</v>
      </c>
      <c r="J39" s="77"/>
      <c r="K39" s="15">
        <f>I39</f>
        <v>23206.6</v>
      </c>
    </row>
    <row r="40" spans="1:10" ht="22.5" thickBot="1" thickTop="1">
      <c r="A40" s="90"/>
      <c r="B40" s="133" t="s">
        <v>73</v>
      </c>
      <c r="C40" s="134"/>
      <c r="D40" s="134"/>
      <c r="E40" s="134"/>
      <c r="F40" s="134"/>
      <c r="G40" s="135"/>
      <c r="H40" s="91"/>
      <c r="I40" s="92">
        <f>I15+I25+I36+I39</f>
        <v>914845.6599999999</v>
      </c>
      <c r="J40" s="90"/>
    </row>
    <row r="41" spans="1:10" ht="25.5" customHeight="1" thickTop="1">
      <c r="A41" s="74"/>
      <c r="B41" s="127" t="s">
        <v>91</v>
      </c>
      <c r="C41" s="128"/>
      <c r="D41" s="128"/>
      <c r="E41" s="128"/>
      <c r="F41" s="128"/>
      <c r="G41" s="129"/>
      <c r="H41" s="74"/>
      <c r="I41" s="1">
        <f>(I40*1.3061)-I40</f>
        <v>280034.2565260001</v>
      </c>
      <c r="J41" s="74"/>
    </row>
    <row r="42" spans="1:10" ht="21">
      <c r="A42" s="74"/>
      <c r="B42" s="127" t="s">
        <v>92</v>
      </c>
      <c r="C42" s="128"/>
      <c r="D42" s="128"/>
      <c r="E42" s="128"/>
      <c r="F42" s="128"/>
      <c r="G42" s="129"/>
      <c r="H42" s="74"/>
      <c r="I42" s="95">
        <f>SUM(I40:I41)</f>
        <v>1194879.916526</v>
      </c>
      <c r="J42" s="74"/>
    </row>
    <row r="43" spans="1:10" ht="21.75" thickBot="1">
      <c r="A43" s="94"/>
      <c r="B43" s="130" t="s">
        <v>93</v>
      </c>
      <c r="C43" s="131"/>
      <c r="D43" s="131"/>
      <c r="E43" s="131"/>
      <c r="F43" s="131"/>
      <c r="G43" s="132"/>
      <c r="H43" s="94"/>
      <c r="I43" s="96">
        <f>ROUNDDOWN(I42,-3)</f>
        <v>1194000</v>
      </c>
      <c r="J43" s="94"/>
    </row>
    <row r="44" ht="21.75" thickTop="1">
      <c r="G44" s="15"/>
    </row>
  </sheetData>
  <sheetProtection/>
  <mergeCells count="25">
    <mergeCell ref="M5:N5"/>
    <mergeCell ref="M6:N6"/>
    <mergeCell ref="M1:Q1"/>
    <mergeCell ref="M2:N2"/>
    <mergeCell ref="M3:N3"/>
    <mergeCell ref="M4:N4"/>
    <mergeCell ref="J8:J9"/>
    <mergeCell ref="N22:O22"/>
    <mergeCell ref="N20:O20"/>
    <mergeCell ref="N23:O23"/>
    <mergeCell ref="N21:O21"/>
    <mergeCell ref="A8:A9"/>
    <mergeCell ref="B8:B9"/>
    <mergeCell ref="C8:C9"/>
    <mergeCell ref="D8:D9"/>
    <mergeCell ref="B41:G41"/>
    <mergeCell ref="B42:G42"/>
    <mergeCell ref="B43:G43"/>
    <mergeCell ref="B40:G40"/>
    <mergeCell ref="A1:J1"/>
    <mergeCell ref="I2:J2"/>
    <mergeCell ref="A6:D6"/>
    <mergeCell ref="E8:F8"/>
    <mergeCell ref="G8:H8"/>
    <mergeCell ref="I8:I9"/>
  </mergeCells>
  <printOptions horizontalCentered="1"/>
  <pageMargins left="0.15748031496062992" right="0.2362204724409449" top="0.2362204724409449" bottom="0.4724409448818898" header="0.31496062992125984" footer="0.31496062992125984"/>
  <pageSetup horizontalDpi="600" verticalDpi="600" orientation="landscape" paperSize="9" scale="70" r:id="rId3"/>
  <headerFooter>
    <oddHeader>&amp;R&amp;"Angsana New,ตัวหนา"&amp;12ปร.4 หน้าที่ &amp;P</oddHeader>
  </headerFooter>
  <rowBreaks count="1" manualBreakCount="1">
    <brk id="31" max="18" man="1"/>
  </rowBreaks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SheetLayoutView="100" zoomScalePageLayoutView="0" workbookViewId="0" topLeftCell="A1">
      <selection activeCell="G17" sqref="G17"/>
    </sheetView>
  </sheetViews>
  <sheetFormatPr defaultColWidth="9.140625" defaultRowHeight="12.75"/>
  <cols>
    <col min="1" max="1" width="11.8515625" style="5" customWidth="1"/>
    <col min="2" max="2" width="33.140625" style="5" customWidth="1"/>
    <col min="3" max="3" width="18.421875" style="5" customWidth="1"/>
    <col min="4" max="4" width="13.421875" style="5" customWidth="1"/>
    <col min="5" max="5" width="16.28125" style="5" customWidth="1"/>
    <col min="6" max="6" width="19.28125" style="5" customWidth="1"/>
    <col min="7" max="7" width="35.7109375" style="5" customWidth="1"/>
    <col min="8" max="8" width="15.28125" style="5" customWidth="1"/>
    <col min="9" max="16384" width="9.140625" style="5" customWidth="1"/>
  </cols>
  <sheetData>
    <row r="1" spans="1:6" ht="25.5" customHeight="1">
      <c r="A1" s="154" t="s">
        <v>10</v>
      </c>
      <c r="B1" s="154"/>
      <c r="C1" s="154"/>
      <c r="D1" s="154"/>
      <c r="E1" s="154"/>
      <c r="F1" s="154"/>
    </row>
    <row r="2" spans="5:6" ht="21">
      <c r="E2" s="6"/>
      <c r="F2" s="8" t="s">
        <v>53</v>
      </c>
    </row>
    <row r="3" spans="1:6" ht="21">
      <c r="A3" s="137" t="s">
        <v>31</v>
      </c>
      <c r="B3" s="137"/>
      <c r="C3" s="137"/>
      <c r="D3" s="137"/>
      <c r="E3" s="137"/>
      <c r="F3" s="137"/>
    </row>
    <row r="4" spans="1:6" ht="22.5" customHeight="1">
      <c r="A4" s="7" t="s">
        <v>86</v>
      </c>
      <c r="B4" s="7"/>
      <c r="C4" s="7"/>
      <c r="D4" s="7"/>
      <c r="E4" s="7"/>
      <c r="F4" s="7"/>
    </row>
    <row r="5" spans="1:3" ht="21">
      <c r="A5" s="7" t="s">
        <v>77</v>
      </c>
      <c r="B5" s="7"/>
      <c r="C5" s="7"/>
    </row>
    <row r="6" spans="1:3" ht="21">
      <c r="A6" s="7" t="s">
        <v>76</v>
      </c>
      <c r="B6" s="7"/>
      <c r="C6" s="7"/>
    </row>
    <row r="7" spans="1:3" ht="21">
      <c r="A7" s="7" t="s">
        <v>32</v>
      </c>
      <c r="B7" s="7"/>
      <c r="C7" s="7"/>
    </row>
    <row r="8" spans="1:3" ht="23.25" customHeight="1">
      <c r="A8" s="7" t="s">
        <v>95</v>
      </c>
      <c r="B8" s="7"/>
      <c r="C8" s="7"/>
    </row>
    <row r="9" spans="1:6" ht="22.5" customHeight="1">
      <c r="A9" s="97" t="s">
        <v>96</v>
      </c>
      <c r="B9" s="97"/>
      <c r="C9" s="97"/>
      <c r="D9" s="97"/>
      <c r="E9" s="97"/>
      <c r="F9" s="97"/>
    </row>
    <row r="10" spans="1:6" ht="21">
      <c r="A10" s="98"/>
      <c r="B10" s="98"/>
      <c r="C10" s="98"/>
      <c r="D10" s="98"/>
      <c r="E10" s="98"/>
      <c r="F10" s="98"/>
    </row>
    <row r="11" spans="1:6" ht="21">
      <c r="A11" s="152" t="s">
        <v>49</v>
      </c>
      <c r="B11" s="152" t="s">
        <v>1</v>
      </c>
      <c r="C11" s="57" t="s">
        <v>33</v>
      </c>
      <c r="D11" s="152" t="s">
        <v>34</v>
      </c>
      <c r="E11" s="57" t="s">
        <v>35</v>
      </c>
      <c r="F11" s="152" t="s">
        <v>9</v>
      </c>
    </row>
    <row r="12" spans="1:6" ht="21">
      <c r="A12" s="153"/>
      <c r="B12" s="153"/>
      <c r="C12" s="121" t="s">
        <v>36</v>
      </c>
      <c r="D12" s="153"/>
      <c r="E12" s="121" t="s">
        <v>36</v>
      </c>
      <c r="F12" s="153"/>
    </row>
    <row r="13" spans="1:6" ht="21">
      <c r="A13" s="104">
        <v>1</v>
      </c>
      <c r="B13" s="100" t="s">
        <v>37</v>
      </c>
      <c r="C13" s="33">
        <f>งานโกดังเก็บวัสดุการผลิต!I40</f>
        <v>914845.6599999999</v>
      </c>
      <c r="D13" s="101">
        <v>1.3061</v>
      </c>
      <c r="E13" s="33">
        <f>SUM(C13*D13)</f>
        <v>1194879.916526</v>
      </c>
      <c r="F13" s="99"/>
    </row>
    <row r="14" spans="1:6" ht="21">
      <c r="A14" s="32">
        <v>2</v>
      </c>
      <c r="B14" s="74" t="s">
        <v>38</v>
      </c>
      <c r="C14" s="33"/>
      <c r="D14" s="102"/>
      <c r="E14" s="33"/>
      <c r="F14" s="71"/>
    </row>
    <row r="15" spans="1:6" ht="21">
      <c r="A15" s="32">
        <v>3</v>
      </c>
      <c r="B15" s="74" t="s">
        <v>39</v>
      </c>
      <c r="C15" s="33" t="s">
        <v>50</v>
      </c>
      <c r="D15" s="103"/>
      <c r="E15" s="33"/>
      <c r="F15" s="71"/>
    </row>
    <row r="16" spans="1:6" ht="21">
      <c r="A16" s="32">
        <v>4</v>
      </c>
      <c r="B16" s="74" t="s">
        <v>40</v>
      </c>
      <c r="C16" s="33"/>
      <c r="D16" s="33"/>
      <c r="E16" s="33"/>
      <c r="F16" s="74"/>
    </row>
    <row r="17" spans="1:6" ht="21">
      <c r="A17" s="32">
        <v>5</v>
      </c>
      <c r="B17" s="74" t="s">
        <v>41</v>
      </c>
      <c r="C17" s="33"/>
      <c r="D17" s="103"/>
      <c r="E17" s="33"/>
      <c r="F17" s="74"/>
    </row>
    <row r="18" spans="1:6" ht="21">
      <c r="A18" s="74"/>
      <c r="B18" s="74" t="s">
        <v>42</v>
      </c>
      <c r="C18" s="33"/>
      <c r="D18" s="33"/>
      <c r="E18" s="33"/>
      <c r="F18" s="74"/>
    </row>
    <row r="19" spans="1:6" ht="21">
      <c r="A19" s="74"/>
      <c r="B19" s="74" t="s">
        <v>43</v>
      </c>
      <c r="C19" s="33"/>
      <c r="D19" s="33"/>
      <c r="E19" s="33"/>
      <c r="F19" s="74"/>
    </row>
    <row r="20" spans="1:6" ht="21">
      <c r="A20" s="74"/>
      <c r="B20" s="74" t="s">
        <v>44</v>
      </c>
      <c r="C20" s="33"/>
      <c r="D20" s="33"/>
      <c r="E20" s="33"/>
      <c r="F20" s="74"/>
    </row>
    <row r="21" spans="1:6" ht="21">
      <c r="A21" s="74"/>
      <c r="B21" s="74" t="s">
        <v>45</v>
      </c>
      <c r="C21" s="33"/>
      <c r="D21" s="33"/>
      <c r="E21" s="33"/>
      <c r="F21" s="74"/>
    </row>
    <row r="22" spans="1:6" ht="21">
      <c r="A22" s="74"/>
      <c r="B22" s="74" t="s">
        <v>46</v>
      </c>
      <c r="C22" s="33"/>
      <c r="D22" s="33"/>
      <c r="E22" s="33"/>
      <c r="F22" s="74"/>
    </row>
    <row r="23" spans="1:8" ht="21">
      <c r="A23" s="104"/>
      <c r="B23" s="105"/>
      <c r="C23" s="106"/>
      <c r="D23" s="107"/>
      <c r="E23" s="108">
        <f>SUM(E13:E22)</f>
        <v>1194879.916526</v>
      </c>
      <c r="F23" s="107"/>
      <c r="G23" s="15">
        <f>E24</f>
        <v>1194000</v>
      </c>
      <c r="H23" s="5" t="s">
        <v>98</v>
      </c>
    </row>
    <row r="24" spans="1:8" ht="21.75" thickBot="1">
      <c r="A24" s="109" t="s">
        <v>47</v>
      </c>
      <c r="B24" s="110" t="s">
        <v>48</v>
      </c>
      <c r="C24" s="111"/>
      <c r="D24" s="112"/>
      <c r="E24" s="93">
        <f>ROUNDDOWN(E23,-3)</f>
        <v>1194000</v>
      </c>
      <c r="F24" s="112"/>
      <c r="G24" s="24">
        <v>1188000</v>
      </c>
      <c r="H24" s="5" t="s">
        <v>99</v>
      </c>
    </row>
    <row r="25" spans="1:8" ht="21.75" thickTop="1">
      <c r="A25" s="113"/>
      <c r="B25" s="123" t="s">
        <v>51</v>
      </c>
      <c r="C25" s="122" t="str">
        <f>_xlfn.BAHTTEXT(E24)</f>
        <v>หนึ่งล้านหนึ่งแสนเก้าหมื่นสี่พันบาทถ้วน</v>
      </c>
      <c r="D25" s="122"/>
      <c r="E25" s="124"/>
      <c r="F25" s="114"/>
      <c r="G25" s="125">
        <f>G23-G24</f>
        <v>6000</v>
      </c>
      <c r="H25" s="5" t="s">
        <v>100</v>
      </c>
    </row>
    <row r="26" spans="1:6" ht="21">
      <c r="A26" s="115"/>
      <c r="B26" s="115" t="s">
        <v>94</v>
      </c>
      <c r="C26" s="116" t="s">
        <v>52</v>
      </c>
      <c r="D26" s="117">
        <f>E24/720</f>
        <v>1658.3333333333333</v>
      </c>
      <c r="E26" s="118" t="s">
        <v>87</v>
      </c>
      <c r="F26" s="115"/>
    </row>
    <row r="27" spans="1:6" ht="21">
      <c r="A27" s="115"/>
      <c r="B27" s="115"/>
      <c r="C27" s="115"/>
      <c r="D27" s="115"/>
      <c r="E27" s="118"/>
      <c r="F27" s="118"/>
    </row>
    <row r="28" spans="1:6" ht="21">
      <c r="A28" s="115"/>
      <c r="B28" s="118"/>
      <c r="C28" s="115"/>
      <c r="D28" s="115"/>
      <c r="E28" s="118"/>
      <c r="F28" s="118"/>
    </row>
    <row r="29" spans="1:6" ht="21">
      <c r="A29" s="115"/>
      <c r="C29" s="115"/>
      <c r="D29" s="115"/>
      <c r="F29" s="118"/>
    </row>
    <row r="30" spans="1:6" ht="21">
      <c r="A30" s="115"/>
      <c r="C30" s="115"/>
      <c r="D30" s="115"/>
      <c r="F30" s="118"/>
    </row>
    <row r="31" spans="1:6" ht="21">
      <c r="A31" s="115"/>
      <c r="B31" s="119"/>
      <c r="C31" s="115"/>
      <c r="D31" s="115"/>
      <c r="E31" s="118"/>
      <c r="F31" s="118"/>
    </row>
    <row r="32" spans="1:6" ht="21">
      <c r="A32" s="115"/>
      <c r="B32" s="118"/>
      <c r="C32" s="115"/>
      <c r="D32" s="115"/>
      <c r="E32" s="118"/>
      <c r="F32" s="118"/>
    </row>
    <row r="33" spans="1:6" ht="21">
      <c r="A33" s="115"/>
      <c r="C33" s="115"/>
      <c r="D33" s="115"/>
      <c r="F33" s="118"/>
    </row>
    <row r="34" spans="1:6" ht="21">
      <c r="A34" s="115"/>
      <c r="C34" s="115"/>
      <c r="D34" s="115"/>
      <c r="F34" s="118"/>
    </row>
    <row r="35" spans="2:4" ht="21">
      <c r="B35" s="7"/>
      <c r="C35" s="7"/>
      <c r="D35" s="7"/>
    </row>
    <row r="36" spans="1:6" ht="21">
      <c r="A36" s="115"/>
      <c r="B36" s="97"/>
      <c r="E36" s="118"/>
      <c r="F36" s="115"/>
    </row>
    <row r="37" spans="2:4" ht="21">
      <c r="B37" s="97"/>
      <c r="C37" s="97"/>
      <c r="D37" s="120"/>
    </row>
    <row r="38" spans="2:5" ht="21">
      <c r="B38" s="7"/>
      <c r="C38" s="7"/>
      <c r="D38" s="7"/>
      <c r="E38" s="3"/>
    </row>
    <row r="39" spans="1:6" ht="21">
      <c r="A39" s="115"/>
      <c r="B39" s="115"/>
      <c r="C39" s="115"/>
      <c r="D39" s="49"/>
      <c r="E39" s="118"/>
      <c r="F39" s="118"/>
    </row>
    <row r="40" spans="2:4" ht="21">
      <c r="B40" s="7"/>
      <c r="C40" s="7"/>
      <c r="D40" s="7"/>
    </row>
  </sheetData>
  <sheetProtection/>
  <mergeCells count="6">
    <mergeCell ref="A11:A12"/>
    <mergeCell ref="B11:B12"/>
    <mergeCell ref="D11:D12"/>
    <mergeCell ref="F11:F12"/>
    <mergeCell ref="A1:F1"/>
    <mergeCell ref="A3:F3"/>
  </mergeCells>
  <printOptions horizontalCentered="1"/>
  <pageMargins left="0.2755905511811024" right="0.4724409448818898" top="0.7480314960629921" bottom="0.7480314960629921" header="0.31496062992125984" footer="0.31496062992125984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อังคณา  ยอดมณี</cp:lastModifiedBy>
  <cp:lastPrinted>2018-07-13T06:53:03Z</cp:lastPrinted>
  <dcterms:created xsi:type="dcterms:W3CDTF">2001-12-31T18:27:15Z</dcterms:created>
  <dcterms:modified xsi:type="dcterms:W3CDTF">2018-07-13T06:53:29Z</dcterms:modified>
  <cp:category/>
  <cp:version/>
  <cp:contentType/>
  <cp:contentStatus/>
</cp:coreProperties>
</file>